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office/Downloads/"/>
    </mc:Choice>
  </mc:AlternateContent>
  <xr:revisionPtr revIDLastSave="0" documentId="8_{236038D0-BE2E-C841-8778-FB11DAB1B6CB}" xr6:coauthVersionLast="47" xr6:coauthVersionMax="47" xr10:uidLastSave="{00000000-0000-0000-0000-000000000000}"/>
  <workbookProtection lockStructure="1"/>
  <bookViews>
    <workbookView xWindow="0" yWindow="500" windowWidth="29040" windowHeight="17640" activeTab="1" xr2:uid="{00000000-000D-0000-FFFF-FFFF00000000}"/>
  </bookViews>
  <sheets>
    <sheet name="Rollback" sheetId="1" state="hidden" r:id="rId1"/>
    <sheet name="Calculator" sheetId="2" r:id="rId2"/>
  </sheets>
  <definedNames>
    <definedName name="Scenario">Rollback!$A$15:$A$15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2" l="1"/>
  <c r="F24" i="2" s="1"/>
  <c r="D15" i="2"/>
  <c r="D16" i="2" s="1"/>
  <c r="D6" i="2"/>
  <c r="D5" i="2"/>
  <c r="F26" i="2"/>
  <c r="F15" i="1" l="1"/>
  <c r="F15" i="2"/>
  <c r="F14" i="2"/>
  <c r="D9" i="2"/>
  <c r="D8" i="2"/>
  <c r="D10" i="2" l="1"/>
  <c r="J15" i="2" s="1"/>
  <c r="L15" i="2" s="1"/>
  <c r="F16" i="2"/>
  <c r="J16" i="2" l="1"/>
  <c r="L16" i="2" s="1"/>
  <c r="J26" i="2"/>
  <c r="L26" i="2" s="1"/>
  <c r="B6" i="1"/>
  <c r="F19" i="2" s="1"/>
  <c r="B8" i="1" l="1"/>
  <c r="F20" i="2"/>
  <c r="J14" i="2"/>
  <c r="L14" i="2" l="1"/>
  <c r="J24" i="2"/>
  <c r="L24" i="2" s="1"/>
  <c r="J19" i="2"/>
  <c r="L19" i="2" s="1"/>
</calcChain>
</file>

<file path=xl/sharedStrings.xml><?xml version="1.0" encoding="utf-8"?>
<sst xmlns="http://schemas.openxmlformats.org/spreadsheetml/2006/main" count="63" uniqueCount="54">
  <si>
    <t xml:space="preserve">   Classification  </t>
  </si>
  <si>
    <t>Rollback Factor</t>
  </si>
  <si>
    <t>Tax Rate</t>
  </si>
  <si>
    <t>Enter Assessed Valuation of Home</t>
  </si>
  <si>
    <t>$ / $1000</t>
  </si>
  <si>
    <t>Scenario</t>
  </si>
  <si>
    <t>Increase</t>
  </si>
  <si>
    <t>Annual</t>
  </si>
  <si>
    <t>Monthly</t>
  </si>
  <si>
    <t>Taxable</t>
  </si>
  <si>
    <t>Valuation</t>
  </si>
  <si>
    <t>Assessed</t>
  </si>
  <si>
    <t>Homestead</t>
  </si>
  <si>
    <t>Credit</t>
  </si>
  <si>
    <t>Home*</t>
  </si>
  <si>
    <t>Agricultural Land**</t>
  </si>
  <si>
    <t>*per Piper Sandler based on estimated interest rates (approximately 0.50% higher than current)</t>
  </si>
  <si>
    <t>**assumes 1/1/2023 valuation growth from 1/1/2022 at 50% of historical growth rate</t>
  </si>
  <si>
    <t>1/1/2023 Estimated</t>
  </si>
  <si>
    <t>Estimated New Levy Rate:</t>
  </si>
  <si>
    <t>Estimated Property Tax Rate Increase:</t>
  </si>
  <si>
    <t>FY24 DS Levy</t>
  </si>
  <si>
    <t>FY25 DS Levy</t>
  </si>
  <si>
    <t>New Rate</t>
  </si>
  <si>
    <t>Old Rate</t>
  </si>
  <si>
    <t>Change</t>
  </si>
  <si>
    <t>Homestead Credit (65 older)</t>
  </si>
  <si>
    <t>Homestead Credit (under 65)</t>
  </si>
  <si>
    <t>Estimated Comparison Levy Rate:</t>
  </si>
  <si>
    <t>Enter Assessed Valuation of Business</t>
  </si>
  <si>
    <t>Effective Rollback Rate</t>
  </si>
  <si>
    <t>Industrial (&gt;150K)</t>
  </si>
  <si>
    <t>Industrial (&lt;150K)</t>
  </si>
  <si>
    <t>Commercial (&lt;150K)</t>
  </si>
  <si>
    <t>Commercial (&gt;150K)</t>
  </si>
  <si>
    <t>Residential</t>
  </si>
  <si>
    <t>Agricultural</t>
  </si>
  <si>
    <t>Yes (under 65)</t>
  </si>
  <si>
    <t>Yes (65 older)</t>
  </si>
  <si>
    <t>No</t>
  </si>
  <si>
    <t>Enter Total Assessed/Productivity Value:</t>
  </si>
  <si>
    <t>Total Assessed/Productivity Value:</t>
  </si>
  <si>
    <t>Enter Acres</t>
  </si>
  <si>
    <t>*select drop down above</t>
  </si>
  <si>
    <t>*Used in calculations below</t>
  </si>
  <si>
    <t>Commercial / Industrial</t>
  </si>
  <si>
    <t>Change valuation and acre information in Yellow/Tan Cells</t>
  </si>
  <si>
    <t>VAN BUREN COUNTY CSD | PROPERTY TAX IMPACT CALCULATOR</t>
  </si>
  <si>
    <t>Van Buren County Avg Assessed per Acre:</t>
  </si>
  <si>
    <t>Fall 2025 GO Bond Referendum | Utilizing Rollback Rates for 1/1/2023 Valuations</t>
  </si>
  <si>
    <t>**1/1/2023 Assessed Valuation Average for Van Buren County = $974. Averages may not reflect the actual tax impact for individual properties.</t>
  </si>
  <si>
    <t>Estimated FY2026 Debt Levy Rate:</t>
  </si>
  <si>
    <t>FY2025 Debt Levy Rate:</t>
  </si>
  <si>
    <t>Debt Only - $3.75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</si>
</sst>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0000%"/>
    <numFmt numFmtId="167" formatCode="_(&quot;$&quot;* #,##0_);_(&quot;$&quot;* \(#,##0\);_(&quot;$&quot;* &quot;-&quot;??_);_(@_)"/>
  </numFmts>
  <fonts count="21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i/>
      <sz val="10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name val="Calibri"/>
      <family val="2"/>
      <scheme val="minor"/>
    </font>
    <font>
      <sz val="10"/>
      <color rgb="FF000000"/>
      <name val="Arial"/>
      <family val="2"/>
    </font>
    <font>
      <b/>
      <i/>
      <sz val="10"/>
      <color theme="5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rgb="FF93C47D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249977111117893"/>
        <bgColor rgb="FFFFFFFF"/>
      </patternFill>
    </fill>
    <fill>
      <patternFill patternType="solid">
        <fgColor theme="4" tint="-0.249977111117893"/>
        <bgColor rgb="FF93C47D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rgb="FF93C47D"/>
      </patternFill>
    </fill>
    <fill>
      <patternFill patternType="solid">
        <fgColor theme="3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56">
    <xf numFmtId="0" fontId="0" fillId="0" borderId="0" xfId="0"/>
    <xf numFmtId="0" fontId="13" fillId="0" borderId="1" xfId="0" applyFont="1" applyBorder="1"/>
    <xf numFmtId="0" fontId="14" fillId="0" borderId="0" xfId="0" applyFont="1"/>
    <xf numFmtId="0" fontId="13" fillId="0" borderId="7" xfId="0" applyFont="1" applyBorder="1" applyAlignment="1">
      <alignment horizontal="left"/>
    </xf>
    <xf numFmtId="0" fontId="13" fillId="0" borderId="7" xfId="0" applyFont="1" applyBorder="1"/>
    <xf numFmtId="0" fontId="13" fillId="0" borderId="0" xfId="0" applyFont="1"/>
    <xf numFmtId="167" fontId="14" fillId="0" borderId="0" xfId="1" applyNumberFormat="1" applyFont="1" applyAlignment="1"/>
    <xf numFmtId="0" fontId="14" fillId="0" borderId="0" xfId="0" applyFont="1" applyAlignment="1">
      <alignment horizontal="left"/>
    </xf>
    <xf numFmtId="44" fontId="14" fillId="0" borderId="0" xfId="1" applyFont="1" applyAlignment="1">
      <alignment horizontal="right"/>
    </xf>
    <xf numFmtId="0" fontId="16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center"/>
    </xf>
    <xf numFmtId="165" fontId="7" fillId="8" borderId="8" xfId="0" applyNumberFormat="1" applyFont="1" applyFill="1" applyBorder="1" applyAlignment="1">
      <alignment horizontal="center"/>
    </xf>
    <xf numFmtId="4" fontId="7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4" fontId="10" fillId="0" borderId="0" xfId="0" applyNumberFormat="1" applyFont="1" applyAlignment="1">
      <alignment horizontal="right"/>
    </xf>
    <xf numFmtId="165" fontId="2" fillId="5" borderId="9" xfId="0" applyNumberFormat="1" applyFont="1" applyFill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164" fontId="11" fillId="0" borderId="8" xfId="0" applyNumberFormat="1" applyFont="1" applyBorder="1"/>
    <xf numFmtId="0" fontId="7" fillId="10" borderId="8" xfId="0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5" fontId="8" fillId="2" borderId="4" xfId="0" applyNumberFormat="1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right"/>
    </xf>
    <xf numFmtId="10" fontId="11" fillId="0" borderId="8" xfId="2" applyNumberFormat="1" applyFont="1" applyBorder="1" applyAlignment="1" applyProtection="1"/>
    <xf numFmtId="0" fontId="18" fillId="0" borderId="0" xfId="0" applyFont="1" applyAlignment="1">
      <alignment horizontal="left"/>
    </xf>
    <xf numFmtId="0" fontId="9" fillId="0" borderId="0" xfId="0" applyFont="1"/>
    <xf numFmtId="0" fontId="6" fillId="11" borderId="15" xfId="0" applyFont="1" applyFill="1" applyBorder="1"/>
    <xf numFmtId="0" fontId="3" fillId="11" borderId="16" xfId="0" applyFont="1" applyFill="1" applyBorder="1"/>
    <xf numFmtId="0" fontId="3" fillId="11" borderId="17" xfId="0" applyFont="1" applyFill="1" applyBorder="1"/>
    <xf numFmtId="164" fontId="7" fillId="11" borderId="4" xfId="0" applyNumberFormat="1" applyFont="1" applyFill="1" applyBorder="1" applyAlignment="1" applyProtection="1">
      <alignment horizontal="right"/>
      <protection locked="0"/>
    </xf>
    <xf numFmtId="43" fontId="7" fillId="11" borderId="4" xfId="3" applyFont="1" applyFill="1" applyBorder="1" applyAlignment="1" applyProtection="1">
      <alignment horizontal="right"/>
      <protection locked="0"/>
    </xf>
    <xf numFmtId="164" fontId="7" fillId="10" borderId="4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166" fontId="15" fillId="0" borderId="5" xfId="2" applyNumberFormat="1" applyFont="1" applyBorder="1" applyAlignment="1">
      <alignment horizontal="center"/>
    </xf>
    <xf numFmtId="166" fontId="15" fillId="0" borderId="6" xfId="2" applyNumberFormat="1" applyFont="1" applyBorder="1"/>
    <xf numFmtId="166" fontId="13" fillId="0" borderId="5" xfId="2" applyNumberFormat="1" applyFont="1" applyBorder="1" applyAlignment="1">
      <alignment horizontal="center"/>
    </xf>
    <xf numFmtId="166" fontId="13" fillId="0" borderId="6" xfId="2" applyNumberFormat="1" applyFont="1" applyBorder="1"/>
    <xf numFmtId="0" fontId="12" fillId="3" borderId="5" xfId="0" applyFont="1" applyFill="1" applyBorder="1" applyAlignment="1">
      <alignment horizontal="center"/>
    </xf>
    <xf numFmtId="0" fontId="12" fillId="3" borderId="6" xfId="0" applyFont="1" applyFill="1" applyBorder="1"/>
    <xf numFmtId="0" fontId="12" fillId="3" borderId="3" xfId="0" applyFont="1" applyFill="1" applyBorder="1" applyAlignment="1">
      <alignment horizontal="center"/>
    </xf>
    <xf numFmtId="0" fontId="12" fillId="3" borderId="2" xfId="0" applyFont="1" applyFill="1" applyBorder="1"/>
    <xf numFmtId="0" fontId="17" fillId="9" borderId="0" xfId="0" applyFont="1" applyFill="1" applyAlignment="1">
      <alignment horizontal="center" vertical="center"/>
    </xf>
    <xf numFmtId="0" fontId="2" fillId="7" borderId="12" xfId="0" applyFont="1" applyFill="1" applyBorder="1" applyAlignment="1" applyProtection="1">
      <alignment horizontal="center"/>
      <protection locked="0"/>
    </xf>
    <xf numFmtId="0" fontId="2" fillId="7" borderId="13" xfId="0" applyFont="1" applyFill="1" applyBorder="1" applyAlignment="1" applyProtection="1">
      <alignment horizontal="center"/>
      <protection locked="0"/>
    </xf>
    <xf numFmtId="0" fontId="2" fillId="7" borderId="14" xfId="0" applyFont="1" applyFill="1" applyBorder="1" applyAlignment="1" applyProtection="1">
      <alignment horizontal="center"/>
      <protection locked="0"/>
    </xf>
    <xf numFmtId="0" fontId="2" fillId="6" borderId="10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6" fillId="0" borderId="0" xfId="0" applyFont="1" applyAlignment="1">
      <alignment horizontal="left"/>
    </xf>
    <xf numFmtId="0" fontId="3" fillId="0" borderId="0" xfId="0" applyFont="1"/>
    <xf numFmtId="0" fontId="6" fillId="0" borderId="9" xfId="0" applyFont="1" applyBorder="1" applyAlignment="1">
      <alignment horizontal="left"/>
    </xf>
    <xf numFmtId="0" fontId="3" fillId="0" borderId="9" xfId="0" applyFont="1" applyBorder="1"/>
    <xf numFmtId="0" fontId="6" fillId="0" borderId="0" xfId="0" applyFont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828675</xdr:colOff>
      <xdr:row>3</xdr:row>
      <xdr:rowOff>42900</xdr:rowOff>
    </xdr:from>
    <xdr:to>
      <xdr:col>12</xdr:col>
      <xdr:colOff>157757</xdr:colOff>
      <xdr:row>9</xdr:row>
      <xdr:rowOff>161027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1C249FD-6305-4FCF-97B2-9192FA101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77225" y="576300"/>
          <a:ext cx="1605557" cy="1213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JC">
      <a:dk1>
        <a:srgbClr val="4A4F55"/>
      </a:dk1>
      <a:lt1>
        <a:srgbClr val="FFFFFF"/>
      </a:lt1>
      <a:dk2>
        <a:srgbClr val="7D7F82"/>
      </a:dk2>
      <a:lt2>
        <a:srgbClr val="E0E4E5"/>
      </a:lt2>
      <a:accent1>
        <a:srgbClr val="3F97B5"/>
      </a:accent1>
      <a:accent2>
        <a:srgbClr val="E65400"/>
      </a:accent2>
      <a:accent3>
        <a:srgbClr val="D1AF22"/>
      </a:accent3>
      <a:accent4>
        <a:srgbClr val="7D7F82"/>
      </a:accent4>
      <a:accent5>
        <a:srgbClr val="B4B8BE"/>
      </a:accent5>
      <a:accent6>
        <a:srgbClr val="7FB5C8"/>
      </a:accent6>
      <a:hlink>
        <a:srgbClr val="3F97B5"/>
      </a:hlink>
      <a:folHlink>
        <a:srgbClr val="3F97B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8"/>
  <sheetViews>
    <sheetView showGridLines="0" workbookViewId="0">
      <selection activeCell="B30" sqref="B30"/>
    </sheetView>
  </sheetViews>
  <sheetFormatPr baseColWidth="10" defaultColWidth="14.5" defaultRowHeight="15.75" customHeight="1" x14ac:dyDescent="0.2"/>
  <cols>
    <col min="1" max="1" width="32" style="2" customWidth="1"/>
    <col min="2" max="16384" width="14.5" style="2"/>
  </cols>
  <sheetData>
    <row r="1" spans="1:6" ht="15.75" customHeight="1" x14ac:dyDescent="0.2">
      <c r="A1" s="1" t="s">
        <v>0</v>
      </c>
      <c r="B1" s="41" t="s">
        <v>1</v>
      </c>
      <c r="C1" s="42"/>
    </row>
    <row r="2" spans="1:6" ht="15.75" customHeight="1" x14ac:dyDescent="0.2">
      <c r="B2" s="39" t="s">
        <v>18</v>
      </c>
      <c r="C2" s="40"/>
    </row>
    <row r="3" spans="1:6" ht="15.75" customHeight="1" x14ac:dyDescent="0.2">
      <c r="A3" s="3" t="s">
        <v>36</v>
      </c>
      <c r="B3" s="37">
        <v>0.71836999999999995</v>
      </c>
      <c r="C3" s="38"/>
    </row>
    <row r="4" spans="1:6" ht="15.75" customHeight="1" x14ac:dyDescent="0.2">
      <c r="A4" s="4" t="s">
        <v>35</v>
      </c>
      <c r="B4" s="37">
        <v>0.46342800000000001</v>
      </c>
      <c r="C4" s="38"/>
    </row>
    <row r="5" spans="1:6" ht="15.75" customHeight="1" x14ac:dyDescent="0.2">
      <c r="A5" s="4" t="s">
        <v>34</v>
      </c>
      <c r="B5" s="37">
        <v>0.9</v>
      </c>
      <c r="C5" s="38"/>
    </row>
    <row r="6" spans="1:6" ht="15.75" customHeight="1" x14ac:dyDescent="0.2">
      <c r="A6" s="4" t="s">
        <v>33</v>
      </c>
      <c r="B6" s="35">
        <f>B4</f>
        <v>0.46342800000000001</v>
      </c>
      <c r="C6" s="36"/>
    </row>
    <row r="7" spans="1:6" ht="15.75" customHeight="1" x14ac:dyDescent="0.2">
      <c r="A7" s="4" t="s">
        <v>31</v>
      </c>
      <c r="B7" s="37">
        <v>0.9</v>
      </c>
      <c r="C7" s="38"/>
    </row>
    <row r="8" spans="1:6" ht="15.75" customHeight="1" x14ac:dyDescent="0.2">
      <c r="A8" s="4" t="s">
        <v>32</v>
      </c>
      <c r="B8" s="35">
        <f>B6</f>
        <v>0.46342800000000001</v>
      </c>
      <c r="C8" s="36"/>
    </row>
    <row r="10" spans="1:6" ht="15.75" customHeight="1" x14ac:dyDescent="0.2">
      <c r="A10" s="5" t="s">
        <v>27</v>
      </c>
      <c r="B10" s="2" t="s">
        <v>37</v>
      </c>
      <c r="C10" s="6">
        <v>4850</v>
      </c>
    </row>
    <row r="11" spans="1:6" ht="15.75" customHeight="1" x14ac:dyDescent="0.2">
      <c r="A11" s="5" t="s">
        <v>26</v>
      </c>
      <c r="B11" s="2" t="s">
        <v>38</v>
      </c>
      <c r="C11" s="6">
        <v>8100</v>
      </c>
    </row>
    <row r="12" spans="1:6" ht="15.75" customHeight="1" x14ac:dyDescent="0.2">
      <c r="B12" s="2" t="s">
        <v>39</v>
      </c>
      <c r="C12" s="6">
        <v>0</v>
      </c>
    </row>
    <row r="14" spans="1:6" ht="15.75" customHeight="1" x14ac:dyDescent="0.2">
      <c r="A14" s="9" t="s">
        <v>5</v>
      </c>
      <c r="B14" s="9" t="s">
        <v>21</v>
      </c>
      <c r="C14" s="9" t="s">
        <v>22</v>
      </c>
      <c r="D14" s="9" t="s">
        <v>23</v>
      </c>
      <c r="E14" s="9" t="s">
        <v>24</v>
      </c>
      <c r="F14" s="9" t="s">
        <v>25</v>
      </c>
    </row>
    <row r="15" spans="1:6" ht="15.75" customHeight="1" x14ac:dyDescent="0.2">
      <c r="A15" s="7" t="s">
        <v>53</v>
      </c>
      <c r="B15" s="8">
        <v>0</v>
      </c>
      <c r="C15" s="8">
        <v>3.75</v>
      </c>
      <c r="D15" s="8">
        <v>3.75</v>
      </c>
      <c r="E15" s="8">
        <v>0</v>
      </c>
      <c r="F15" s="8">
        <f t="shared" ref="F15" si="0">IFERROR(D15-E15,"N/A")</f>
        <v>3.75</v>
      </c>
    </row>
    <row r="17" spans="1:1" ht="15.75" customHeight="1" x14ac:dyDescent="0.2">
      <c r="A17" s="2" t="s">
        <v>16</v>
      </c>
    </row>
    <row r="18" spans="1:1" ht="15.75" customHeight="1" x14ac:dyDescent="0.2">
      <c r="A18" s="2" t="s">
        <v>17</v>
      </c>
    </row>
  </sheetData>
  <mergeCells count="8">
    <mergeCell ref="B8:C8"/>
    <mergeCell ref="B7:C7"/>
    <mergeCell ref="B2:C2"/>
    <mergeCell ref="B1:C1"/>
    <mergeCell ref="B3:C3"/>
    <mergeCell ref="B4:C4"/>
    <mergeCell ref="B5:C5"/>
    <mergeCell ref="B6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O30"/>
  <sheetViews>
    <sheetView showGridLines="0" tabSelected="1" zoomScaleNormal="100" workbookViewId="0">
      <selection activeCell="H20" sqref="H20"/>
    </sheetView>
  </sheetViews>
  <sheetFormatPr baseColWidth="10" defaultColWidth="14.5" defaultRowHeight="15.75" customHeight="1" x14ac:dyDescent="0.2"/>
  <cols>
    <col min="1" max="3" width="17.1640625" style="10" customWidth="1"/>
    <col min="4" max="4" width="15.6640625" style="10" customWidth="1"/>
    <col min="5" max="5" width="2.6640625" style="10" customWidth="1"/>
    <col min="6" max="6" width="15.6640625" style="10" customWidth="1"/>
    <col min="7" max="7" width="2.6640625" style="10" customWidth="1"/>
    <col min="8" max="8" width="20.6640625" style="10" customWidth="1"/>
    <col min="9" max="9" width="2.6640625" style="10" customWidth="1"/>
    <col min="10" max="10" width="15.6640625" style="10" customWidth="1"/>
    <col min="11" max="11" width="2.6640625" style="10" customWidth="1"/>
    <col min="12" max="12" width="15.6640625" style="10" customWidth="1"/>
    <col min="13" max="13" width="2.6640625" style="10" customWidth="1"/>
    <col min="14" max="16384" width="14.5" style="10"/>
  </cols>
  <sheetData>
    <row r="1" spans="1:15" ht="19" x14ac:dyDescent="0.2">
      <c r="A1" s="50" t="s">
        <v>47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5" ht="16" x14ac:dyDescent="0.2">
      <c r="A2" s="43" t="s">
        <v>49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5" ht="8" customHeight="1" x14ac:dyDescent="0.2"/>
    <row r="4" spans="1:15" ht="15.75" customHeight="1" x14ac:dyDescent="0.25">
      <c r="A4" s="11" t="s">
        <v>2</v>
      </c>
      <c r="D4" s="12" t="s">
        <v>4</v>
      </c>
      <c r="E4" s="12"/>
      <c r="F4" s="47" t="s">
        <v>5</v>
      </c>
      <c r="G4" s="48"/>
      <c r="H4" s="49"/>
      <c r="I4" s="12"/>
      <c r="K4" s="12"/>
      <c r="L4" s="12"/>
      <c r="M4" s="12"/>
    </row>
    <row r="5" spans="1:15" ht="15.75" customHeight="1" x14ac:dyDescent="0.25">
      <c r="A5" s="51" t="s">
        <v>52</v>
      </c>
      <c r="B5" s="52"/>
      <c r="C5" s="52"/>
      <c r="D5" s="13">
        <f>VLOOKUP($F$5,Rollback!$A$15:$F$15,2,FALSE)</f>
        <v>0</v>
      </c>
      <c r="E5" s="14"/>
      <c r="F5" s="44" t="s">
        <v>53</v>
      </c>
      <c r="G5" s="45"/>
      <c r="H5" s="46"/>
      <c r="I5" s="14"/>
      <c r="K5" s="14"/>
      <c r="L5" s="12"/>
      <c r="M5" s="14"/>
    </row>
    <row r="6" spans="1:15" ht="15.75" customHeight="1" x14ac:dyDescent="0.25">
      <c r="A6" s="51" t="s">
        <v>51</v>
      </c>
      <c r="B6" s="52"/>
      <c r="C6" s="52"/>
      <c r="D6" s="13">
        <f>VLOOKUP($F$5,Rollback!$A$15:$F$15,3,FALSE)</f>
        <v>3.75</v>
      </c>
      <c r="E6" s="14"/>
      <c r="F6" s="34" t="s">
        <v>43</v>
      </c>
      <c r="G6" s="15"/>
      <c r="H6" s="15"/>
      <c r="I6" s="14"/>
      <c r="K6" s="14"/>
      <c r="L6" s="12"/>
      <c r="M6" s="14"/>
    </row>
    <row r="7" spans="1:15" ht="8" customHeight="1" x14ac:dyDescent="0.25">
      <c r="A7" s="15"/>
      <c r="B7" s="15"/>
      <c r="C7" s="15"/>
      <c r="D7" s="15"/>
      <c r="E7" s="15"/>
      <c r="F7" s="15"/>
      <c r="G7" s="15"/>
      <c r="H7" s="15"/>
      <c r="I7" s="14"/>
      <c r="K7" s="14"/>
      <c r="L7" s="12"/>
      <c r="M7" s="14"/>
    </row>
    <row r="8" spans="1:15" ht="15.75" customHeight="1" x14ac:dyDescent="0.25">
      <c r="A8" s="51" t="s">
        <v>19</v>
      </c>
      <c r="B8" s="52"/>
      <c r="C8" s="52"/>
      <c r="D8" s="13">
        <f>VLOOKUP($F$5,Rollback!$A$15:$F$15,4,FALSE)</f>
        <v>3.75</v>
      </c>
      <c r="E8" s="16"/>
      <c r="G8" s="16"/>
      <c r="I8" s="16"/>
      <c r="J8" s="12"/>
      <c r="K8" s="16"/>
      <c r="L8" s="12"/>
      <c r="M8" s="16"/>
      <c r="O8"/>
    </row>
    <row r="9" spans="1:15" ht="15.75" customHeight="1" x14ac:dyDescent="0.25">
      <c r="A9" s="15" t="s">
        <v>28</v>
      </c>
      <c r="D9" s="13">
        <f>VLOOKUP($F$5,Rollback!$A$15:$F$15,5,FALSE)</f>
        <v>0</v>
      </c>
      <c r="E9" s="16"/>
      <c r="G9" s="16"/>
      <c r="I9" s="16"/>
      <c r="J9" s="12"/>
      <c r="K9" s="16"/>
      <c r="L9" s="12"/>
      <c r="M9" s="16"/>
    </row>
    <row r="10" spans="1:15" ht="15.75" customHeight="1" x14ac:dyDescent="0.25">
      <c r="A10" s="53" t="s">
        <v>20</v>
      </c>
      <c r="B10" s="54"/>
      <c r="C10" s="54"/>
      <c r="D10" s="17">
        <f>D8-D9</f>
        <v>3.75</v>
      </c>
      <c r="F10" s="10" t="s">
        <v>44</v>
      </c>
    </row>
    <row r="11" spans="1:15" ht="8" customHeight="1" x14ac:dyDescent="0.25">
      <c r="F11" s="12"/>
      <c r="H11" s="12"/>
      <c r="J11" s="12"/>
      <c r="L11" s="12"/>
    </row>
    <row r="12" spans="1:15" ht="15.75" customHeight="1" x14ac:dyDescent="0.25">
      <c r="D12" s="12" t="s">
        <v>11</v>
      </c>
      <c r="F12" s="12" t="s">
        <v>9</v>
      </c>
      <c r="H12" s="12" t="s">
        <v>12</v>
      </c>
      <c r="J12" s="12" t="s">
        <v>7</v>
      </c>
      <c r="L12" s="12" t="s">
        <v>8</v>
      </c>
    </row>
    <row r="13" spans="1:15" ht="15.75" customHeight="1" x14ac:dyDescent="0.25">
      <c r="A13" s="11" t="s">
        <v>14</v>
      </c>
      <c r="D13" s="12" t="s">
        <v>10</v>
      </c>
      <c r="F13" s="12" t="s">
        <v>10</v>
      </c>
      <c r="H13" s="12" t="s">
        <v>13</v>
      </c>
      <c r="J13" s="12" t="s">
        <v>6</v>
      </c>
      <c r="L13" s="12" t="s">
        <v>6</v>
      </c>
    </row>
    <row r="14" spans="1:15" ht="15.75" customHeight="1" x14ac:dyDescent="0.25">
      <c r="A14" s="18" t="s">
        <v>3</v>
      </c>
      <c r="B14" s="18"/>
      <c r="C14" s="19"/>
      <c r="D14" s="31">
        <v>100000</v>
      </c>
      <c r="F14" s="20">
        <f>D14*Rollback!$B$4</f>
        <v>46342.8</v>
      </c>
      <c r="H14" s="21" t="s">
        <v>37</v>
      </c>
      <c r="J14" s="22">
        <f>IF(H14="Yes (under 65)",(F14-Rollback!$C$10)/1000*D10,IF(H14="Yes (65 older)",(F14-Rollback!$C$11)/1000*$D$10,F14/1000*$D$10))</f>
        <v>155.59800000000001</v>
      </c>
      <c r="L14" s="23">
        <f>J14/12</f>
        <v>12.966500000000002</v>
      </c>
    </row>
    <row r="15" spans="1:15" ht="15.75" customHeight="1" x14ac:dyDescent="0.25">
      <c r="A15" s="18" t="s">
        <v>3</v>
      </c>
      <c r="B15" s="18"/>
      <c r="C15" s="19"/>
      <c r="D15" s="24">
        <f>D14</f>
        <v>100000</v>
      </c>
      <c r="F15" s="20">
        <f>D15*Rollback!$B$4</f>
        <v>46342.8</v>
      </c>
      <c r="H15" s="21" t="s">
        <v>38</v>
      </c>
      <c r="J15" s="22">
        <f>IF(H15="Yes (under 65)",(F15-Rollback!$C$10)/1000*D11,IF(H15="Yes (65 older)",(F15-Rollback!$C$11)/1000*$D$10,F15/1000*$D$10))</f>
        <v>143.41050000000001</v>
      </c>
      <c r="L15" s="23">
        <f>J15/12</f>
        <v>11.950875000000002</v>
      </c>
    </row>
    <row r="16" spans="1:15" ht="15.75" customHeight="1" x14ac:dyDescent="0.25">
      <c r="A16" s="18" t="s">
        <v>3</v>
      </c>
      <c r="B16" s="18"/>
      <c r="C16" s="19"/>
      <c r="D16" s="24">
        <f>D15</f>
        <v>100000</v>
      </c>
      <c r="F16" s="20">
        <f>D16*Rollback!$B$4</f>
        <v>46342.8</v>
      </c>
      <c r="H16" s="21" t="s">
        <v>39</v>
      </c>
      <c r="J16" s="22">
        <f>IF(H16="Yes (under 65)",(F16-Rollback!$C$10)/1000*D12,IF(H16="Yes (65 older)",(F16-Rollback!$C$11)/1000*$D$10,F16/1000*$D$10))</f>
        <v>173.78550000000001</v>
      </c>
      <c r="L16" s="23">
        <f>J16/12</f>
        <v>14.482125000000002</v>
      </c>
    </row>
    <row r="17" spans="1:12" ht="8" customHeight="1" x14ac:dyDescent="0.2"/>
    <row r="18" spans="1:12" ht="15.75" customHeight="1" x14ac:dyDescent="0.25">
      <c r="A18" s="11" t="s">
        <v>45</v>
      </c>
      <c r="J18" s="12"/>
      <c r="L18" s="12"/>
    </row>
    <row r="19" spans="1:12" ht="15.75" customHeight="1" x14ac:dyDescent="0.25">
      <c r="A19" s="55" t="s">
        <v>29</v>
      </c>
      <c r="B19" s="52"/>
      <c r="C19" s="52"/>
      <c r="D19" s="31">
        <v>250000</v>
      </c>
      <c r="F19" s="20">
        <f>IF(D19&gt;150000,(150000*Rollback!$B$6)+((D19-150000)*Rollback!$B$5),Calculator!D19*Rollback!$B$6)</f>
        <v>159514.20000000001</v>
      </c>
      <c r="J19" s="23">
        <f>$F19/1000*$D$10</f>
        <v>598.17825000000005</v>
      </c>
      <c r="L19" s="23">
        <f>J19/12</f>
        <v>49.848187500000002</v>
      </c>
    </row>
    <row r="20" spans="1:12" ht="15.75" customHeight="1" x14ac:dyDescent="0.25">
      <c r="A20" s="55" t="s">
        <v>30</v>
      </c>
      <c r="B20" s="52"/>
      <c r="C20" s="52"/>
      <c r="F20" s="25">
        <f>F19/D19</f>
        <v>0.63805680000000009</v>
      </c>
    </row>
    <row r="21" spans="1:12" ht="8" customHeight="1" x14ac:dyDescent="0.2"/>
    <row r="22" spans="1:12" ht="15.75" customHeight="1" x14ac:dyDescent="0.25">
      <c r="A22" s="11" t="s">
        <v>15</v>
      </c>
      <c r="J22" s="12"/>
      <c r="L22" s="12"/>
    </row>
    <row r="23" spans="1:12" ht="15.75" customHeight="1" x14ac:dyDescent="0.25">
      <c r="A23" s="18" t="s">
        <v>48</v>
      </c>
      <c r="D23" s="33">
        <v>974</v>
      </c>
      <c r="F23" s="32">
        <v>100</v>
      </c>
      <c r="G23" s="26" t="s">
        <v>42</v>
      </c>
      <c r="J23" s="12"/>
      <c r="L23" s="12"/>
    </row>
    <row r="24" spans="1:12" ht="15.75" customHeight="1" x14ac:dyDescent="0.25">
      <c r="A24" s="18" t="s">
        <v>41</v>
      </c>
      <c r="D24" s="24">
        <f>F23*D23</f>
        <v>97400</v>
      </c>
      <c r="F24" s="20">
        <f>D24*Rollback!$B$3</f>
        <v>69969.237999999998</v>
      </c>
      <c r="J24" s="23">
        <f>$F24/1000*$D$10</f>
        <v>262.38464250000004</v>
      </c>
      <c r="L24" s="23">
        <f>J24/12</f>
        <v>21.865386875000002</v>
      </c>
    </row>
    <row r="25" spans="1:12" ht="8" customHeight="1" x14ac:dyDescent="0.2"/>
    <row r="26" spans="1:12" ht="15.75" customHeight="1" x14ac:dyDescent="0.25">
      <c r="A26" s="18" t="s">
        <v>40</v>
      </c>
      <c r="D26" s="31">
        <v>100000</v>
      </c>
      <c r="F26" s="20">
        <f>D26*Rollback!$B$3</f>
        <v>71837</v>
      </c>
      <c r="J26" s="23">
        <f>$F26/1000*$D$10</f>
        <v>269.38875000000002</v>
      </c>
      <c r="L26" s="23">
        <f>J26/12</f>
        <v>22.4490625</v>
      </c>
    </row>
    <row r="27" spans="1:12" ht="8" customHeight="1" x14ac:dyDescent="0.2"/>
    <row r="28" spans="1:12" ht="15.75" customHeight="1" x14ac:dyDescent="0.2">
      <c r="A28" s="27" t="s">
        <v>50</v>
      </c>
    </row>
    <row r="29" spans="1:12" ht="15.75" customHeight="1" x14ac:dyDescent="0.2">
      <c r="A29" s="27"/>
    </row>
    <row r="30" spans="1:12" ht="15.75" customHeight="1" x14ac:dyDescent="0.25">
      <c r="A30" s="28" t="s">
        <v>46</v>
      </c>
      <c r="B30" s="29"/>
      <c r="C30" s="29"/>
      <c r="D30" s="30"/>
    </row>
  </sheetData>
  <mergeCells count="10">
    <mergeCell ref="A10:C10"/>
    <mergeCell ref="A8:C8"/>
    <mergeCell ref="A6:C6"/>
    <mergeCell ref="A19:C19"/>
    <mergeCell ref="A20:C20"/>
    <mergeCell ref="A2:M2"/>
    <mergeCell ref="F5:H5"/>
    <mergeCell ref="F4:H4"/>
    <mergeCell ref="A1:M1"/>
    <mergeCell ref="A5:C5"/>
  </mergeCells>
  <dataValidations count="3">
    <dataValidation type="decimal" allowBlank="1" showDropDown="1" showInputMessage="1" showErrorMessage="1" prompt="Enter a number between 0 and 500000000" sqref="D27:E27 G27 I27 K27 M27 I25 K25 M25 G25 D25:E25" xr:uid="{00000000-0002-0000-0100-000000000000}">
      <formula1>0</formula1>
      <formula2>500000000</formula2>
    </dataValidation>
    <dataValidation type="list" allowBlank="1" showInputMessage="1" showErrorMessage="1" sqref="F5" xr:uid="{00000000-0002-0000-0100-000001000000}">
      <formula1>Scenario</formula1>
    </dataValidation>
    <dataValidation type="list" allowBlank="1" showInputMessage="1" showErrorMessage="1" sqref="H14:H16" xr:uid="{00000000-0002-0000-0100-000002000000}">
      <formula1>"Yes (under 65), Yes (65 older), No"</formula1>
    </dataValidation>
  </dataValidations>
  <printOptions horizontalCentered="1"/>
  <pageMargins left="0.7" right="0.7" top="0.75" bottom="0.75" header="0" footer="0"/>
  <pageSetup scale="83" fitToHeight="0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Rollback</vt:lpstr>
      <vt:lpstr>Calculator</vt:lpstr>
      <vt:lpstr>Scenario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Squires, Travis</dc:creator>
  <cp:lastModifiedBy>Microsoft Office User</cp:lastModifiedBy>
  <cp:lastPrinted>2019-11-18T17:18:23Z</cp:lastPrinted>
  <dcterms:created xsi:type="dcterms:W3CDTF">2019-11-18T13:55:56Z</dcterms:created>
  <dcterms:modified xsi:type="dcterms:W3CDTF">2024-07-11T16:32:01Z</dcterms:modified>
</cp:coreProperties>
</file>